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Temporär\Referate\"/>
    </mc:Choice>
  </mc:AlternateContent>
  <xr:revisionPtr revIDLastSave="0" documentId="8_{A171200D-C334-4BEB-9BB8-78EC6224C46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 s="1"/>
  <c r="K22" i="1" s="1"/>
  <c r="L22" i="1" s="1"/>
  <c r="I9" i="1"/>
  <c r="J9" i="1" s="1"/>
  <c r="K9" i="1" s="1"/>
  <c r="L9" i="1" s="1"/>
  <c r="M9" i="1" s="1"/>
  <c r="P9" i="1" s="1"/>
  <c r="H11" i="1"/>
  <c r="L39" i="1"/>
  <c r="L41" i="1" s="1"/>
  <c r="K27" i="1" s="1"/>
  <c r="I11" i="1" l="1"/>
  <c r="Q9" i="1"/>
  <c r="R9" i="1" s="1"/>
  <c r="S9" i="1" s="1"/>
  <c r="T9" i="1" s="1"/>
  <c r="J11" i="1"/>
  <c r="K11" i="1" s="1"/>
  <c r="L11" i="1" s="1"/>
  <c r="M11" i="1" s="1"/>
  <c r="P11" i="1" s="1"/>
  <c r="Q11" i="1" l="1"/>
  <c r="R11" i="1" s="1"/>
  <c r="S11" i="1" s="1"/>
  <c r="T11" i="1" s="1"/>
  <c r="L27" i="1" l="1"/>
  <c r="M27" i="1" s="1"/>
  <c r="P27" i="1" s="1"/>
  <c r="Q27" i="1" s="1"/>
  <c r="R27" i="1" s="1"/>
  <c r="S27" i="1" s="1"/>
  <c r="T27" i="1" s="1"/>
  <c r="I17" i="1"/>
  <c r="J17" i="1" s="1"/>
  <c r="K17" i="1" s="1"/>
  <c r="L17" i="1" s="1"/>
  <c r="M17" i="1" s="1"/>
  <c r="P17" i="1" s="1"/>
  <c r="Q17" i="1" s="1"/>
  <c r="R17" i="1" s="1"/>
  <c r="S17" i="1" s="1"/>
  <c r="T17" i="1" s="1"/>
  <c r="I5" i="1" l="1"/>
  <c r="J5" i="1" s="1"/>
  <c r="L5" i="1" s="1"/>
  <c r="M5" i="1" s="1"/>
  <c r="P5" i="1" s="1"/>
  <c r="Q5" i="1" s="1"/>
  <c r="R5" i="1" s="1"/>
  <c r="S5" i="1" s="1"/>
  <c r="T5" i="1" s="1"/>
  <c r="H7" i="1"/>
  <c r="N12" i="1" s="1"/>
  <c r="N27" i="1"/>
  <c r="N23" i="1"/>
  <c r="N22" i="1"/>
  <c r="N17" i="1"/>
  <c r="I7" i="1" l="1"/>
  <c r="N11" i="1" s="1"/>
  <c r="B63" i="1"/>
  <c r="C63" i="1"/>
  <c r="J7" i="1" l="1"/>
  <c r="K7" i="1" l="1"/>
  <c r="N9" i="1" s="1"/>
  <c r="N10" i="1"/>
  <c r="L7" i="1"/>
  <c r="I63" i="1"/>
  <c r="G63" i="1"/>
  <c r="K46" i="1"/>
  <c r="J46" i="1"/>
  <c r="I46" i="1"/>
  <c r="H46" i="1"/>
  <c r="G46" i="1"/>
  <c r="L46" i="1" l="1"/>
  <c r="N8" i="1"/>
  <c r="M7" i="1"/>
  <c r="N7" i="1" s="1"/>
  <c r="F62" i="1"/>
  <c r="J62" i="1" s="1"/>
  <c r="K62" i="1" s="1"/>
  <c r="F61" i="1"/>
  <c r="J61" i="1" s="1"/>
  <c r="K61" i="1" s="1"/>
  <c r="F60" i="1"/>
  <c r="J60" i="1" s="1"/>
  <c r="K60" i="1" s="1"/>
  <c r="F59" i="1"/>
  <c r="J59" i="1" s="1"/>
  <c r="K59" i="1" s="1"/>
  <c r="F58" i="1"/>
  <c r="J58" i="1" s="1"/>
  <c r="K58" i="1" s="1"/>
  <c r="F57" i="1"/>
  <c r="J57" i="1" s="1"/>
  <c r="F56" i="1"/>
  <c r="N6" i="1" l="1"/>
  <c r="F63" i="1"/>
  <c r="J63" i="1"/>
  <c r="K57" i="1"/>
  <c r="P7" i="1"/>
  <c r="M46" i="1"/>
  <c r="B7" i="1"/>
  <c r="B46" i="1" l="1"/>
  <c r="P46" i="1"/>
  <c r="Q7" i="1"/>
  <c r="F7" i="1"/>
  <c r="F46" i="1" s="1"/>
  <c r="E7" i="1"/>
  <c r="E46" i="1" s="1"/>
  <c r="D7" i="1"/>
  <c r="D46" i="1" s="1"/>
  <c r="C7" i="1"/>
  <c r="C46" i="1" s="1"/>
  <c r="T13" i="1"/>
  <c r="S13" i="1"/>
  <c r="R13" i="1"/>
  <c r="Q13" i="1"/>
  <c r="P13" i="1"/>
  <c r="M13" i="1"/>
  <c r="L13" i="1"/>
  <c r="K13" i="1"/>
  <c r="J13" i="1"/>
  <c r="I13" i="1"/>
  <c r="H13" i="1"/>
  <c r="H15" i="1" s="1"/>
  <c r="G13" i="1"/>
  <c r="F13" i="1"/>
  <c r="E13" i="1"/>
  <c r="D13" i="1"/>
  <c r="C13" i="1"/>
  <c r="B13" i="1"/>
  <c r="B47" i="1" s="1"/>
  <c r="F12" i="1"/>
  <c r="B15" i="1" l="1"/>
  <c r="B20" i="1" s="1"/>
  <c r="B25" i="1" s="1"/>
  <c r="B48" i="1"/>
  <c r="Q46" i="1"/>
  <c r="R7" i="1"/>
  <c r="R15" i="1" s="1"/>
  <c r="R20" i="1" s="1"/>
  <c r="R25" i="1" s="1"/>
  <c r="R29" i="1" s="1"/>
  <c r="R31" i="1" s="1"/>
  <c r="P15" i="1"/>
  <c r="D47" i="1"/>
  <c r="D48" i="1" s="1"/>
  <c r="D15" i="1"/>
  <c r="D20" i="1" s="1"/>
  <c r="D25" i="1" s="1"/>
  <c r="C47" i="1"/>
  <c r="C48" i="1" s="1"/>
  <c r="C15" i="1"/>
  <c r="C20" i="1" s="1"/>
  <c r="C25" i="1" s="1"/>
  <c r="E15" i="1"/>
  <c r="E20" i="1" s="1"/>
  <c r="E25" i="1" s="1"/>
  <c r="E47" i="1"/>
  <c r="E48" i="1" s="1"/>
  <c r="J15" i="1"/>
  <c r="J18" i="1"/>
  <c r="L18" i="1"/>
  <c r="L15" i="1"/>
  <c r="L20" i="1" s="1"/>
  <c r="L25" i="1" s="1"/>
  <c r="L29" i="1" s="1"/>
  <c r="Q15" i="1"/>
  <c r="Q20" i="1" s="1"/>
  <c r="Q25" i="1" s="1"/>
  <c r="Q29" i="1" s="1"/>
  <c r="Q31" i="1" s="1"/>
  <c r="F15" i="1"/>
  <c r="F20" i="1" s="1"/>
  <c r="F25" i="1" s="1"/>
  <c r="F47" i="1"/>
  <c r="F48" i="1" s="1"/>
  <c r="H18" i="1"/>
  <c r="I15" i="1"/>
  <c r="I18" i="1"/>
  <c r="K18" i="1"/>
  <c r="K15" i="1"/>
  <c r="M15" i="1"/>
  <c r="M18" i="1"/>
  <c r="P18" i="1" s="1"/>
  <c r="Q18" i="1" s="1"/>
  <c r="R18" i="1" s="1"/>
  <c r="S18" i="1" s="1"/>
  <c r="T18" i="1" s="1"/>
  <c r="G15" i="1"/>
  <c r="G20" i="1" s="1"/>
  <c r="G25" i="1" s="1"/>
  <c r="G29" i="1" s="1"/>
  <c r="G47" i="1"/>
  <c r="G48" i="1" s="1"/>
  <c r="P47" i="1"/>
  <c r="P48" i="1" s="1"/>
  <c r="R47" i="1"/>
  <c r="K47" i="1"/>
  <c r="K48" i="1" s="1"/>
  <c r="L47" i="1"/>
  <c r="L48" i="1" s="1"/>
  <c r="M47" i="1"/>
  <c r="M48" i="1" s="1"/>
  <c r="Q47" i="1"/>
  <c r="S47" i="1"/>
  <c r="T47" i="1"/>
  <c r="J47" i="1"/>
  <c r="J48" i="1" s="1"/>
  <c r="I47" i="1"/>
  <c r="I48" i="1" s="1"/>
  <c r="H47" i="1"/>
  <c r="H48" i="1" s="1"/>
  <c r="P20" i="1" l="1"/>
  <c r="P25" i="1" s="1"/>
  <c r="P29" i="1" s="1"/>
  <c r="P31" i="1" s="1"/>
  <c r="Q48" i="1"/>
  <c r="N18" i="1"/>
  <c r="N31" i="1" s="1"/>
  <c r="R46" i="1"/>
  <c r="R48" i="1" s="1"/>
  <c r="S7" i="1"/>
  <c r="J20" i="1"/>
  <c r="J25" i="1" s="1"/>
  <c r="J29" i="1" s="1"/>
  <c r="J31" i="1" s="1"/>
  <c r="H20" i="1"/>
  <c r="H25" i="1" s="1"/>
  <c r="H29" i="1" s="1"/>
  <c r="H31" i="1" s="1"/>
  <c r="I20" i="1"/>
  <c r="I25" i="1" s="1"/>
  <c r="I29" i="1" s="1"/>
  <c r="I31" i="1" s="1"/>
  <c r="M20" i="1"/>
  <c r="M25" i="1" s="1"/>
  <c r="M29" i="1" s="1"/>
  <c r="M31" i="1" s="1"/>
  <c r="K20" i="1"/>
  <c r="K25" i="1" s="1"/>
  <c r="K29" i="1" s="1"/>
  <c r="K31" i="1" s="1"/>
  <c r="L31" i="1"/>
  <c r="T7" i="1" l="1"/>
  <c r="S46" i="1"/>
  <c r="S48" i="1" s="1"/>
  <c r="S15" i="1"/>
  <c r="S20" i="1" s="1"/>
  <c r="S25" i="1" s="1"/>
  <c r="S29" i="1" s="1"/>
  <c r="S31" i="1" s="1"/>
  <c r="T15" i="1" l="1"/>
  <c r="T20" i="1" s="1"/>
  <c r="T25" i="1" s="1"/>
  <c r="T29" i="1" s="1"/>
  <c r="T31" i="1" s="1"/>
  <c r="T46" i="1"/>
  <c r="T48" i="1" s="1"/>
  <c r="M32" i="1"/>
</calcChain>
</file>

<file path=xl/sharedStrings.xml><?xml version="1.0" encoding="utf-8"?>
<sst xmlns="http://schemas.openxmlformats.org/spreadsheetml/2006/main" count="49" uniqueCount="45">
  <si>
    <t>Steuererträge Gemeinde Schönenwerd</t>
  </si>
  <si>
    <t>abzüglich Sondereffekten</t>
  </si>
  <si>
    <t xml:space="preserve">Steuerertrag JP </t>
  </si>
  <si>
    <t>Steuerertrag NP</t>
  </si>
  <si>
    <t>Wachstum in Prozent</t>
  </si>
  <si>
    <t>Gemeindeausgleich STAF: Entwicklung Finanzfluss Jahr 1 - 7</t>
  </si>
  <si>
    <t>Jahr</t>
  </si>
  <si>
    <t>Steuerausfall statisch</t>
  </si>
  <si>
    <t>Ausgleich FILA</t>
  </si>
  <si>
    <t>Ausgleich in %</t>
  </si>
  <si>
    <t>Restsaldo nach Vollausgleich</t>
  </si>
  <si>
    <t>Resultat Nach FILA Model</t>
  </si>
  <si>
    <t>Gegenfinanzierung</t>
  </si>
  <si>
    <t>Korrektur</t>
  </si>
  <si>
    <t xml:space="preserve">Übernahme  Kanton Sonderpädagogik </t>
  </si>
  <si>
    <t xml:space="preserve">Total Veränderung </t>
  </si>
  <si>
    <t>in % massgebendes Steueraufkommen</t>
  </si>
  <si>
    <t>Verbleibende Gegenfinanzierung aus Steuerbereich</t>
  </si>
  <si>
    <t>Steuerfuss JP</t>
  </si>
  <si>
    <t>2014-2016</t>
  </si>
  <si>
    <t>Steuerfuss NP</t>
  </si>
  <si>
    <t>massgebendes Staatssteueraufkommen 2019</t>
  </si>
  <si>
    <t>Sonderpädagogik 2017</t>
  </si>
  <si>
    <t>Steuerertrag Total</t>
  </si>
  <si>
    <t>Steuerertrag NP 100%</t>
  </si>
  <si>
    <t>Steuerertrag JP 100%</t>
  </si>
  <si>
    <t>Steuerertrag Total 100%</t>
  </si>
  <si>
    <t>Mehrertrag STAF</t>
  </si>
  <si>
    <t>Rückgang JP Steuern</t>
  </si>
  <si>
    <t>Zwischentotal Steurn</t>
  </si>
  <si>
    <t>IT</t>
  </si>
  <si>
    <t>FILA</t>
  </si>
  <si>
    <t>Zwischentotal</t>
  </si>
  <si>
    <t>Total nach Steuererhöhung</t>
  </si>
  <si>
    <t>Total</t>
  </si>
  <si>
    <t>2020-2025</t>
  </si>
  <si>
    <t>Berechnung Anpassung Steuerfuss</t>
  </si>
  <si>
    <t xml:space="preserve"> </t>
  </si>
  <si>
    <t>Differenz zum Ausgangsjahr 2019</t>
  </si>
  <si>
    <t>100% Staatssteueraufkommen</t>
  </si>
  <si>
    <t xml:space="preserve">Steuererhöhung JP </t>
  </si>
  <si>
    <t>Gesamtsteuersatz JP aktuell</t>
  </si>
  <si>
    <t>Gesamtsteuersatz JP mit STAF</t>
  </si>
  <si>
    <r>
      <t xml:space="preserve">Gesamtsteuersatz JP STAF mit Erhöhung auf </t>
    </r>
    <r>
      <rPr>
        <b/>
        <sz val="11"/>
        <color theme="1"/>
        <rFont val="Arial"/>
        <family val="2"/>
      </rPr>
      <t>165%</t>
    </r>
    <r>
      <rPr>
        <sz val="11"/>
        <color theme="1"/>
        <rFont val="Arial"/>
        <family val="2"/>
      </rPr>
      <t xml:space="preserve"> ohne SoPä</t>
    </r>
  </si>
  <si>
    <r>
      <t xml:space="preserve">Gesamtsteuersatz JP STAF mit Erhöhung auf </t>
    </r>
    <r>
      <rPr>
        <b/>
        <sz val="11"/>
        <color theme="1"/>
        <rFont val="Arial"/>
        <family val="2"/>
      </rPr>
      <t>140%</t>
    </r>
    <r>
      <rPr>
        <sz val="11"/>
        <color theme="1"/>
        <rFont val="Arial"/>
        <family val="2"/>
      </rPr>
      <t xml:space="preserve"> mit SoPä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</si>
</sst>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9" fontId="2" fillId="0" borderId="0" xfId="0" applyNumberFormat="1" applyFont="1"/>
    <xf numFmtId="43" fontId="2" fillId="0" borderId="0" xfId="1" applyFont="1"/>
    <xf numFmtId="10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quotePrefix="1" applyNumberFormat="1" applyFont="1"/>
    <xf numFmtId="0" fontId="2" fillId="0" borderId="0" xfId="0" quotePrefix="1" applyFont="1"/>
    <xf numFmtId="43" fontId="2" fillId="0" borderId="0" xfId="1" quotePrefix="1" applyFont="1"/>
    <xf numFmtId="164" fontId="2" fillId="0" borderId="0" xfId="1" applyNumberFormat="1" applyFont="1"/>
    <xf numFmtId="164" fontId="2" fillId="0" borderId="0" xfId="0" applyNumberFormat="1" applyFont="1"/>
    <xf numFmtId="165" fontId="2" fillId="0" borderId="0" xfId="2" applyNumberFormat="1" applyFont="1"/>
    <xf numFmtId="9" fontId="2" fillId="0" borderId="0" xfId="2" applyNumberFormat="1" applyFont="1"/>
    <xf numFmtId="43" fontId="2" fillId="0" borderId="0" xfId="0" applyNumberFormat="1" applyFont="1"/>
    <xf numFmtId="4" fontId="2" fillId="0" borderId="0" xfId="0" quotePrefix="1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0" fontId="4" fillId="0" borderId="0" xfId="0" applyFont="1"/>
    <xf numFmtId="9" fontId="2" fillId="0" borderId="0" xfId="2" applyFont="1"/>
    <xf numFmtId="0" fontId="2" fillId="2" borderId="0" xfId="0" applyFont="1" applyFill="1" applyAlignment="1">
      <alignment horizontal="center"/>
    </xf>
    <xf numFmtId="165" fontId="2" fillId="2" borderId="0" xfId="2" applyNumberFormat="1" applyFont="1" applyFill="1"/>
    <xf numFmtId="43" fontId="2" fillId="2" borderId="0" xfId="0" applyNumberFormat="1" applyFont="1" applyFill="1"/>
    <xf numFmtId="165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2" applyNumberFormat="1" applyFont="1" applyFill="1"/>
    <xf numFmtId="0" fontId="2" fillId="0" borderId="0" xfId="0" applyFont="1" applyFill="1"/>
    <xf numFmtId="43" fontId="2" fillId="0" borderId="0" xfId="1" applyFont="1" applyFill="1"/>
    <xf numFmtId="43" fontId="2" fillId="0" borderId="0" xfId="0" applyNumberFormat="1" applyFont="1" applyFill="1"/>
    <xf numFmtId="43" fontId="3" fillId="0" borderId="0" xfId="0" applyNumberFormat="1" applyFont="1" applyFill="1"/>
    <xf numFmtId="43" fontId="5" fillId="2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164" fontId="2" fillId="0" borderId="0" xfId="1" applyNumberFormat="1" applyFont="1" applyFill="1"/>
    <xf numFmtId="164" fontId="2" fillId="0" borderId="0" xfId="0" applyNumberFormat="1" applyFont="1" applyFill="1"/>
    <xf numFmtId="9" fontId="2" fillId="0" borderId="0" xfId="2" applyFont="1" applyFill="1"/>
    <xf numFmtId="0" fontId="5" fillId="0" borderId="0" xfId="0" applyFont="1"/>
    <xf numFmtId="43" fontId="5" fillId="0" borderId="0" xfId="0" applyNumberFormat="1" applyFont="1"/>
    <xf numFmtId="43" fontId="5" fillId="0" borderId="0" xfId="0" applyNumberFormat="1" applyFont="1" applyFill="1"/>
    <xf numFmtId="0" fontId="6" fillId="0" borderId="0" xfId="0" applyFont="1"/>
    <xf numFmtId="0" fontId="7" fillId="0" borderId="0" xfId="0" applyFont="1"/>
    <xf numFmtId="10" fontId="2" fillId="0" borderId="0" xfId="0" applyNumberFormat="1" applyFont="1" applyFill="1"/>
    <xf numFmtId="0" fontId="8" fillId="4" borderId="0" xfId="0" applyFont="1" applyFill="1"/>
    <xf numFmtId="0" fontId="9" fillId="3" borderId="0" xfId="0" applyFont="1" applyFill="1"/>
    <xf numFmtId="10" fontId="9" fillId="3" borderId="0" xfId="0" applyNumberFormat="1" applyFont="1" applyFill="1"/>
    <xf numFmtId="43" fontId="9" fillId="3" borderId="0" xfId="0" applyNumberFormat="1" applyFont="1" applyFill="1"/>
    <xf numFmtId="9" fontId="2" fillId="0" borderId="0" xfId="0" applyNumberFormat="1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zoomScale="80" zoomScaleNormal="80" workbookViewId="0">
      <pane ySplit="3" topLeftCell="A4" activePane="bottomLeft" state="frozen"/>
      <selection pane="bottomLeft" activeCell="K14" sqref="K14"/>
    </sheetView>
  </sheetViews>
  <sheetFormatPr baseColWidth="10" defaultColWidth="11.5546875" defaultRowHeight="13.8" x14ac:dyDescent="0.25"/>
  <cols>
    <col min="1" max="1" width="24.5546875" style="1" customWidth="1"/>
    <col min="2" max="5" width="14.6640625" style="1" hidden="1" customWidth="1"/>
    <col min="6" max="7" width="16.6640625" style="1" customWidth="1"/>
    <col min="8" max="15" width="16.6640625" style="27" customWidth="1"/>
    <col min="16" max="20" width="16.6640625" style="1" customWidth="1"/>
    <col min="21" max="16384" width="11.5546875" style="1"/>
  </cols>
  <sheetData>
    <row r="1" spans="1:20" s="18" customFormat="1" ht="17.399999999999999" x14ac:dyDescent="0.3">
      <c r="A1" s="40" t="s">
        <v>0</v>
      </c>
      <c r="H1" s="24"/>
      <c r="I1" s="24"/>
      <c r="J1" s="24"/>
      <c r="K1" s="24"/>
      <c r="L1" s="24"/>
      <c r="M1" s="24"/>
      <c r="N1" s="24"/>
      <c r="O1" s="24"/>
    </row>
    <row r="3" spans="1:20" s="5" customFormat="1" x14ac:dyDescent="0.25">
      <c r="B3" s="5">
        <v>2014</v>
      </c>
      <c r="C3" s="5">
        <v>2015</v>
      </c>
      <c r="D3" s="5">
        <v>2016</v>
      </c>
      <c r="E3" s="5">
        <v>2017</v>
      </c>
      <c r="F3" s="5">
        <v>2018</v>
      </c>
      <c r="G3" s="5">
        <v>2019</v>
      </c>
      <c r="H3" s="20">
        <v>2020</v>
      </c>
      <c r="I3" s="20">
        <v>2021</v>
      </c>
      <c r="J3" s="20">
        <v>2022</v>
      </c>
      <c r="K3" s="20">
        <v>2023</v>
      </c>
      <c r="L3" s="20">
        <v>2024</v>
      </c>
      <c r="M3" s="20">
        <v>2025</v>
      </c>
      <c r="N3" s="20" t="s">
        <v>34</v>
      </c>
      <c r="O3" s="25"/>
      <c r="P3" s="5">
        <v>2026</v>
      </c>
      <c r="Q3" s="5">
        <v>2027</v>
      </c>
      <c r="R3" s="5">
        <v>2028</v>
      </c>
      <c r="S3" s="5">
        <v>2029</v>
      </c>
      <c r="T3" s="5">
        <v>2030</v>
      </c>
    </row>
    <row r="4" spans="1:20" x14ac:dyDescent="0.25">
      <c r="N4" s="25" t="s">
        <v>35</v>
      </c>
    </row>
    <row r="5" spans="1:20" x14ac:dyDescent="0.25">
      <c r="A5" s="1" t="s">
        <v>4</v>
      </c>
      <c r="B5" s="7"/>
      <c r="C5" s="7"/>
      <c r="D5" s="7"/>
      <c r="E5" s="6"/>
      <c r="F5" s="7"/>
      <c r="G5" s="2"/>
      <c r="H5" s="23">
        <v>5.0000000000000001E-3</v>
      </c>
      <c r="I5" s="23">
        <f>H5</f>
        <v>5.0000000000000001E-3</v>
      </c>
      <c r="J5" s="23">
        <f t="shared" ref="J5:M5" si="0">I5</f>
        <v>5.0000000000000001E-3</v>
      </c>
      <c r="K5" s="23">
        <v>5.3E-3</v>
      </c>
      <c r="L5" s="23">
        <f t="shared" si="0"/>
        <v>5.3E-3</v>
      </c>
      <c r="M5" s="23">
        <f t="shared" si="0"/>
        <v>5.3E-3</v>
      </c>
      <c r="N5" s="21"/>
      <c r="O5" s="26"/>
      <c r="P5" s="11">
        <f>M5</f>
        <v>5.3E-3</v>
      </c>
      <c r="Q5" s="11">
        <f>P5</f>
        <v>5.3E-3</v>
      </c>
      <c r="R5" s="11">
        <f t="shared" ref="R5:T5" si="1">Q5</f>
        <v>5.3E-3</v>
      </c>
      <c r="S5" s="11">
        <f t="shared" si="1"/>
        <v>5.3E-3</v>
      </c>
      <c r="T5" s="11">
        <f t="shared" si="1"/>
        <v>5.3E-3</v>
      </c>
    </row>
    <row r="6" spans="1:20" ht="11.25" customHeight="1" x14ac:dyDescent="0.25">
      <c r="B6" s="7"/>
      <c r="C6" s="7"/>
      <c r="D6" s="7"/>
      <c r="E6" s="6"/>
      <c r="F6" s="7"/>
      <c r="G6" s="46"/>
      <c r="H6" s="46"/>
      <c r="I6" s="46"/>
      <c r="J6" s="41"/>
      <c r="N6" s="22">
        <f>SUM(N7:N12)</f>
        <v>1136436.4410394058</v>
      </c>
    </row>
    <row r="7" spans="1:20" x14ac:dyDescent="0.25">
      <c r="A7" s="1" t="s">
        <v>3</v>
      </c>
      <c r="B7" s="3">
        <f>10178490.7+35625.05</f>
        <v>10214115.75</v>
      </c>
      <c r="C7" s="3">
        <f>10370224.55+301544.55</f>
        <v>10671769.100000001</v>
      </c>
      <c r="D7" s="3">
        <f>9425034+253307.6</f>
        <v>9678341.5999999996</v>
      </c>
      <c r="E7" s="3">
        <f>10450281.4+20821.6</f>
        <v>10471103</v>
      </c>
      <c r="F7" s="3">
        <f>9727355.9+8186.9</f>
        <v>9735542.8000000007</v>
      </c>
      <c r="G7" s="28">
        <v>10550000</v>
      </c>
      <c r="H7" s="28">
        <f t="shared" ref="H7" si="2">G7*H5+G7</f>
        <v>10602750</v>
      </c>
      <c r="I7" s="28">
        <f>H7*I5+H7</f>
        <v>10655763.75</v>
      </c>
      <c r="J7" s="28">
        <f t="shared" ref="J7" si="3">I7*J5+I7</f>
        <v>10709042.56875</v>
      </c>
      <c r="K7" s="28">
        <f t="shared" ref="K7" si="4">J7*K5+J7</f>
        <v>10765800.494364375</v>
      </c>
      <c r="L7" s="28">
        <f t="shared" ref="L7" si="5">K7*L5+K7</f>
        <v>10822859.236984506</v>
      </c>
      <c r="M7" s="28">
        <f t="shared" ref="M7" si="6">L7*M5+L7</f>
        <v>10880220.390940525</v>
      </c>
      <c r="N7" s="28">
        <f>M7-G7</f>
        <v>330220.39094052464</v>
      </c>
      <c r="O7" s="28"/>
      <c r="P7" s="3">
        <f>M7*P5+M7</f>
        <v>10937885.55901251</v>
      </c>
      <c r="Q7" s="3">
        <f t="shared" ref="Q7:T7" si="7">P7*Q5+P7</f>
        <v>10995856.352475276</v>
      </c>
      <c r="R7" s="3">
        <f t="shared" si="7"/>
        <v>11054134.391143395</v>
      </c>
      <c r="S7" s="3">
        <f t="shared" si="7"/>
        <v>11112721.303416455</v>
      </c>
      <c r="T7" s="3">
        <f t="shared" si="7"/>
        <v>11171618.726324562</v>
      </c>
    </row>
    <row r="8" spans="1:20" x14ac:dyDescent="0.25">
      <c r="B8" s="3"/>
      <c r="C8" s="3"/>
      <c r="D8" s="3"/>
      <c r="E8" s="3"/>
      <c r="F8" s="3"/>
      <c r="G8" s="28"/>
      <c r="H8" s="28"/>
      <c r="I8" s="28"/>
      <c r="J8" s="28"/>
      <c r="K8" s="28"/>
      <c r="L8" s="28"/>
      <c r="M8" s="28"/>
      <c r="N8" s="28">
        <f>L7-G7</f>
        <v>272859.23698450625</v>
      </c>
      <c r="O8" s="28"/>
      <c r="P8" s="3"/>
      <c r="Q8" s="3"/>
      <c r="R8" s="3"/>
      <c r="S8" s="3"/>
      <c r="T8" s="3"/>
    </row>
    <row r="9" spans="1:20" ht="12" customHeight="1" x14ac:dyDescent="0.25">
      <c r="A9" s="1" t="s">
        <v>4</v>
      </c>
      <c r="B9" s="7"/>
      <c r="C9" s="7"/>
      <c r="D9" s="7"/>
      <c r="E9" s="14"/>
      <c r="F9" s="7"/>
      <c r="G9" s="46"/>
      <c r="H9" s="23">
        <v>0</v>
      </c>
      <c r="I9" s="23">
        <f>H9</f>
        <v>0</v>
      </c>
      <c r="J9" s="23">
        <f>I9</f>
        <v>0</v>
      </c>
      <c r="K9" s="23">
        <f>J9</f>
        <v>0</v>
      </c>
      <c r="L9" s="23">
        <f>K9</f>
        <v>0</v>
      </c>
      <c r="M9" s="23">
        <f>L9</f>
        <v>0</v>
      </c>
      <c r="N9" s="29">
        <f>K7-G7</f>
        <v>215800.49436437525</v>
      </c>
      <c r="O9" s="29"/>
      <c r="P9" s="11">
        <f>M9</f>
        <v>0</v>
      </c>
      <c r="Q9" s="11">
        <f>P9</f>
        <v>0</v>
      </c>
      <c r="R9" s="11">
        <f t="shared" ref="R9" si="8">Q9</f>
        <v>0</v>
      </c>
      <c r="S9" s="11">
        <f t="shared" ref="S9" si="9">R9</f>
        <v>0</v>
      </c>
      <c r="T9" s="11">
        <f t="shared" ref="T9" si="10">S9</f>
        <v>0</v>
      </c>
    </row>
    <row r="10" spans="1:20" ht="11.25" customHeight="1" x14ac:dyDescent="0.25">
      <c r="B10" s="8"/>
      <c r="C10" s="8"/>
      <c r="D10" s="8"/>
      <c r="E10" s="8"/>
      <c r="F10" s="8"/>
      <c r="G10" s="28"/>
      <c r="H10" s="28"/>
      <c r="I10" s="28"/>
      <c r="J10" s="28"/>
      <c r="K10" s="28"/>
      <c r="L10" s="28"/>
      <c r="M10" s="28"/>
      <c r="N10" s="28">
        <f>J7-G7</f>
        <v>159042.56874999963</v>
      </c>
      <c r="O10" s="28"/>
    </row>
    <row r="11" spans="1:20" x14ac:dyDescent="0.25">
      <c r="A11" s="1" t="s">
        <v>2</v>
      </c>
      <c r="B11" s="3">
        <v>1495830.8</v>
      </c>
      <c r="C11" s="3">
        <v>975874.8</v>
      </c>
      <c r="D11" s="3">
        <v>2210231</v>
      </c>
      <c r="E11" s="3">
        <v>2698249.05</v>
      </c>
      <c r="F11" s="3">
        <v>3467087</v>
      </c>
      <c r="G11" s="28">
        <v>1800000</v>
      </c>
      <c r="H11" s="28">
        <f t="shared" ref="H11" si="11">G11*H9+G11</f>
        <v>1800000</v>
      </c>
      <c r="I11" s="28">
        <f t="shared" ref="I11" si="12">H11*I9+H11</f>
        <v>1800000</v>
      </c>
      <c r="J11" s="28">
        <f t="shared" ref="J11" si="13">I11*J9+I11</f>
        <v>1800000</v>
      </c>
      <c r="K11" s="28">
        <f t="shared" ref="K11" si="14">J11*K9+J11</f>
        <v>1800000</v>
      </c>
      <c r="L11" s="28">
        <f t="shared" ref="L11" si="15">K11*L9+K11</f>
        <v>1800000</v>
      </c>
      <c r="M11" s="28">
        <f t="shared" ref="M11" si="16">L11*M9+L11</f>
        <v>1800000</v>
      </c>
      <c r="N11" s="28">
        <f>I7-G7</f>
        <v>105763.75</v>
      </c>
      <c r="O11" s="28"/>
      <c r="P11" s="3">
        <f>M11*P9+M11</f>
        <v>1800000</v>
      </c>
      <c r="Q11" s="3">
        <f t="shared" ref="Q11" si="17">P11*Q9+P11</f>
        <v>1800000</v>
      </c>
      <c r="R11" s="3">
        <f t="shared" ref="R11" si="18">Q11*R9+Q11</f>
        <v>1800000</v>
      </c>
      <c r="S11" s="3">
        <f t="shared" ref="S11" si="19">R11*S9+R11</f>
        <v>1800000</v>
      </c>
      <c r="T11" s="3">
        <f t="shared" ref="T11" si="20">S11*T9+S11</f>
        <v>1800000</v>
      </c>
    </row>
    <row r="12" spans="1:20" x14ac:dyDescent="0.25">
      <c r="A12" s="1" t="s">
        <v>1</v>
      </c>
      <c r="B12" s="3"/>
      <c r="C12" s="3"/>
      <c r="D12" s="3"/>
      <c r="E12" s="3">
        <v>-312795.55</v>
      </c>
      <c r="F12" s="3">
        <f>-1110331.3-602084.8</f>
        <v>-1712416.1</v>
      </c>
      <c r="G12" s="28"/>
      <c r="H12" s="28"/>
      <c r="I12" s="28"/>
      <c r="J12" s="28"/>
      <c r="K12" s="28"/>
      <c r="L12" s="28"/>
      <c r="M12" s="28"/>
      <c r="N12" s="28">
        <f>H7-G7</f>
        <v>52750</v>
      </c>
      <c r="O12" s="28"/>
      <c r="P12" s="3"/>
      <c r="Q12" s="3"/>
      <c r="R12" s="3"/>
      <c r="S12" s="3"/>
      <c r="T12" s="3"/>
    </row>
    <row r="13" spans="1:20" x14ac:dyDescent="0.25">
      <c r="A13" s="1" t="s">
        <v>2</v>
      </c>
      <c r="B13" s="3">
        <f>B11+B12</f>
        <v>1495830.8</v>
      </c>
      <c r="C13" s="3">
        <f t="shared" ref="C13:T13" si="21">C11+C12</f>
        <v>975874.8</v>
      </c>
      <c r="D13" s="3">
        <f t="shared" si="21"/>
        <v>2210231</v>
      </c>
      <c r="E13" s="3">
        <f t="shared" si="21"/>
        <v>2385453.5</v>
      </c>
      <c r="F13" s="3">
        <f t="shared" si="21"/>
        <v>1754670.9</v>
      </c>
      <c r="G13" s="28">
        <f t="shared" si="21"/>
        <v>1800000</v>
      </c>
      <c r="H13" s="28">
        <f t="shared" si="21"/>
        <v>1800000</v>
      </c>
      <c r="I13" s="28">
        <f t="shared" si="21"/>
        <v>1800000</v>
      </c>
      <c r="J13" s="28">
        <f t="shared" si="21"/>
        <v>1800000</v>
      </c>
      <c r="K13" s="28">
        <f t="shared" si="21"/>
        <v>1800000</v>
      </c>
      <c r="L13" s="28">
        <f t="shared" si="21"/>
        <v>1800000</v>
      </c>
      <c r="M13" s="28">
        <f t="shared" si="21"/>
        <v>1800000</v>
      </c>
      <c r="N13" s="28"/>
      <c r="O13" s="28"/>
      <c r="P13" s="3">
        <f t="shared" si="21"/>
        <v>1800000</v>
      </c>
      <c r="Q13" s="3">
        <f t="shared" si="21"/>
        <v>1800000</v>
      </c>
      <c r="R13" s="3">
        <f t="shared" si="21"/>
        <v>1800000</v>
      </c>
      <c r="S13" s="3">
        <f t="shared" si="21"/>
        <v>1800000</v>
      </c>
      <c r="T13" s="3">
        <f t="shared" si="21"/>
        <v>1800000</v>
      </c>
    </row>
    <row r="14" spans="1:20" x14ac:dyDescent="0.25">
      <c r="G14" s="27"/>
    </row>
    <row r="15" spans="1:20" x14ac:dyDescent="0.25">
      <c r="A15" s="1" t="s">
        <v>23</v>
      </c>
      <c r="B15" s="13">
        <f t="shared" ref="B15:M15" si="22">B7+B13</f>
        <v>11709946.550000001</v>
      </c>
      <c r="C15" s="13">
        <f t="shared" si="22"/>
        <v>11647643.900000002</v>
      </c>
      <c r="D15" s="13">
        <f t="shared" si="22"/>
        <v>11888572.6</v>
      </c>
      <c r="E15" s="13">
        <f t="shared" si="22"/>
        <v>12856556.5</v>
      </c>
      <c r="F15" s="13">
        <f t="shared" si="22"/>
        <v>11490213.700000001</v>
      </c>
      <c r="G15" s="13">
        <f t="shared" si="22"/>
        <v>12350000</v>
      </c>
      <c r="H15" s="31">
        <f t="shared" si="22"/>
        <v>12402750</v>
      </c>
      <c r="I15" s="31">
        <f t="shared" si="22"/>
        <v>12455763.75</v>
      </c>
      <c r="J15" s="31">
        <f t="shared" si="22"/>
        <v>12509042.56875</v>
      </c>
      <c r="K15" s="31">
        <f t="shared" si="22"/>
        <v>12565800.494364375</v>
      </c>
      <c r="L15" s="31">
        <f t="shared" si="22"/>
        <v>12622859.236984506</v>
      </c>
      <c r="M15" s="31">
        <f t="shared" si="22"/>
        <v>12680220.390940525</v>
      </c>
      <c r="N15" s="22"/>
      <c r="O15" s="29"/>
      <c r="P15" s="31">
        <f>P7+P13</f>
        <v>12737885.55901251</v>
      </c>
      <c r="Q15" s="31">
        <f>Q7+Q13</f>
        <v>12795856.352475276</v>
      </c>
      <c r="R15" s="31">
        <f>R7+R13</f>
        <v>12854134.391143395</v>
      </c>
      <c r="S15" s="31">
        <f>S7+S13</f>
        <v>12912721.303416455</v>
      </c>
      <c r="T15" s="31">
        <f>T7+T13</f>
        <v>12971618.726324562</v>
      </c>
    </row>
    <row r="16" spans="1:20" x14ac:dyDescent="0.25">
      <c r="B16" s="13"/>
      <c r="C16" s="13"/>
      <c r="D16" s="13"/>
      <c r="E16" s="13"/>
      <c r="F16" s="13"/>
      <c r="G16" s="13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  <c r="S16" s="13"/>
      <c r="T16" s="13"/>
    </row>
    <row r="17" spans="1:20" x14ac:dyDescent="0.25">
      <c r="A17" s="1" t="s">
        <v>27</v>
      </c>
      <c r="B17" s="13"/>
      <c r="C17" s="13"/>
      <c r="D17" s="13"/>
      <c r="E17" s="13"/>
      <c r="F17" s="13"/>
      <c r="G17" s="13"/>
      <c r="H17" s="22">
        <v>50000</v>
      </c>
      <c r="I17" s="22">
        <f>H17</f>
        <v>50000</v>
      </c>
      <c r="J17" s="22">
        <f>I17</f>
        <v>50000</v>
      </c>
      <c r="K17" s="22">
        <f>J17</f>
        <v>50000</v>
      </c>
      <c r="L17" s="22">
        <f>K17</f>
        <v>50000</v>
      </c>
      <c r="M17" s="22">
        <f>L17</f>
        <v>50000</v>
      </c>
      <c r="N17" s="22">
        <f>SUM(H17:M17)</f>
        <v>300000</v>
      </c>
      <c r="O17" s="29"/>
      <c r="P17" s="13">
        <f>M17</f>
        <v>50000</v>
      </c>
      <c r="Q17" s="13">
        <f>P17</f>
        <v>50000</v>
      </c>
      <c r="R17" s="13">
        <f t="shared" ref="R17:T17" si="23">Q17</f>
        <v>50000</v>
      </c>
      <c r="S17" s="13">
        <f t="shared" si="23"/>
        <v>50000</v>
      </c>
      <c r="T17" s="13">
        <f t="shared" si="23"/>
        <v>50000</v>
      </c>
    </row>
    <row r="18" spans="1:20" x14ac:dyDescent="0.25">
      <c r="A18" s="1" t="s">
        <v>28</v>
      </c>
      <c r="B18" s="2"/>
      <c r="C18" s="19"/>
      <c r="D18" s="13"/>
      <c r="E18" s="13"/>
      <c r="F18" s="13"/>
      <c r="G18" s="13"/>
      <c r="H18" s="22">
        <f>-H13/4</f>
        <v>-450000</v>
      </c>
      <c r="I18" s="22">
        <f>-I13/2</f>
        <v>-900000</v>
      </c>
      <c r="J18" s="22">
        <f>-J13/2</f>
        <v>-900000</v>
      </c>
      <c r="K18" s="22">
        <f>-K13/2</f>
        <v>-900000</v>
      </c>
      <c r="L18" s="22">
        <f>-L13/2</f>
        <v>-900000</v>
      </c>
      <c r="M18" s="22">
        <f>-M13/2</f>
        <v>-900000</v>
      </c>
      <c r="N18" s="22">
        <f>SUM(H18:M18)</f>
        <v>-4950000</v>
      </c>
      <c r="O18" s="29"/>
      <c r="P18" s="13">
        <f>M18</f>
        <v>-900000</v>
      </c>
      <c r="Q18" s="13">
        <f>P18</f>
        <v>-900000</v>
      </c>
      <c r="R18" s="13">
        <f t="shared" ref="R18:T18" si="24">Q18</f>
        <v>-900000</v>
      </c>
      <c r="S18" s="13">
        <f t="shared" si="24"/>
        <v>-900000</v>
      </c>
      <c r="T18" s="13">
        <f t="shared" si="24"/>
        <v>-900000</v>
      </c>
    </row>
    <row r="19" spans="1:20" x14ac:dyDescent="0.25">
      <c r="B19" s="13"/>
      <c r="C19" s="13"/>
      <c r="D19" s="13"/>
      <c r="E19" s="13"/>
      <c r="F19" s="13"/>
      <c r="G19" s="13"/>
      <c r="H19" s="22"/>
      <c r="I19" s="22"/>
      <c r="J19" s="22"/>
      <c r="K19" s="22"/>
      <c r="L19" s="22"/>
      <c r="M19" s="22"/>
      <c r="N19" s="22"/>
      <c r="O19" s="29"/>
      <c r="P19" s="13"/>
      <c r="Q19" s="13"/>
      <c r="R19" s="13"/>
      <c r="S19" s="13"/>
      <c r="T19" s="13"/>
    </row>
    <row r="20" spans="1:20" x14ac:dyDescent="0.25">
      <c r="A20" s="36" t="s">
        <v>29</v>
      </c>
      <c r="B20" s="37">
        <f t="shared" ref="B20:M20" si="25">SUM(B15:B19)</f>
        <v>11709946.550000001</v>
      </c>
      <c r="C20" s="37">
        <f t="shared" si="25"/>
        <v>11647643.900000002</v>
      </c>
      <c r="D20" s="37">
        <f t="shared" si="25"/>
        <v>11888572.6</v>
      </c>
      <c r="E20" s="37">
        <f t="shared" si="25"/>
        <v>12856556.5</v>
      </c>
      <c r="F20" s="37">
        <f t="shared" si="25"/>
        <v>11490213.700000001</v>
      </c>
      <c r="G20" s="37">
        <f t="shared" si="25"/>
        <v>12350000</v>
      </c>
      <c r="H20" s="31">
        <f t="shared" si="25"/>
        <v>12002750</v>
      </c>
      <c r="I20" s="31">
        <f t="shared" si="25"/>
        <v>11605763.75</v>
      </c>
      <c r="J20" s="31">
        <f t="shared" si="25"/>
        <v>11659042.56875</v>
      </c>
      <c r="K20" s="31">
        <f t="shared" si="25"/>
        <v>11715800.494364375</v>
      </c>
      <c r="L20" s="31">
        <f t="shared" si="25"/>
        <v>11772859.236984506</v>
      </c>
      <c r="M20" s="31">
        <f t="shared" si="25"/>
        <v>11830220.390940525</v>
      </c>
      <c r="N20" s="22"/>
      <c r="O20" s="29"/>
      <c r="P20" s="31">
        <f>SUM(P15:P19)</f>
        <v>11887885.55901251</v>
      </c>
      <c r="Q20" s="31">
        <f>SUM(Q15:Q19)</f>
        <v>11945856.352475276</v>
      </c>
      <c r="R20" s="31">
        <f>SUM(R15:R19)</f>
        <v>12004134.391143395</v>
      </c>
      <c r="S20" s="31">
        <f>SUM(S15:S19)</f>
        <v>12062721.303416455</v>
      </c>
      <c r="T20" s="31">
        <f>SUM(T15:T19)</f>
        <v>12121618.726324562</v>
      </c>
    </row>
    <row r="21" spans="1:20" x14ac:dyDescent="0.25">
      <c r="B21" s="13"/>
      <c r="C21" s="13"/>
      <c r="D21" s="13"/>
      <c r="E21" s="13"/>
      <c r="F21" s="13"/>
      <c r="G21" s="13"/>
      <c r="H21" s="22"/>
      <c r="I21" s="22"/>
      <c r="J21" s="22"/>
      <c r="K21" s="22"/>
      <c r="L21" s="22"/>
      <c r="M21" s="22"/>
      <c r="N21" s="22"/>
      <c r="O21" s="29"/>
      <c r="P21" s="13"/>
      <c r="Q21" s="13"/>
      <c r="R21" s="13"/>
      <c r="S21" s="13"/>
      <c r="T21" s="13"/>
    </row>
    <row r="22" spans="1:20" x14ac:dyDescent="0.25">
      <c r="A22" s="1" t="s">
        <v>30</v>
      </c>
      <c r="B22" s="13"/>
      <c r="C22" s="13"/>
      <c r="D22" s="13"/>
      <c r="E22" s="13"/>
      <c r="F22" s="13"/>
      <c r="G22" s="13"/>
      <c r="H22" s="22">
        <v>110000</v>
      </c>
      <c r="I22" s="22">
        <f>H22</f>
        <v>110000</v>
      </c>
      <c r="J22" s="22">
        <f>I22</f>
        <v>110000</v>
      </c>
      <c r="K22" s="22">
        <f>J22</f>
        <v>110000</v>
      </c>
      <c r="L22" s="22">
        <f>K22</f>
        <v>110000</v>
      </c>
      <c r="M22" s="22"/>
      <c r="N22" s="22">
        <f>SUM(H22:M22)</f>
        <v>550000</v>
      </c>
      <c r="O22" s="29"/>
      <c r="P22" s="13"/>
      <c r="Q22" s="13"/>
      <c r="R22" s="13"/>
      <c r="S22" s="13"/>
      <c r="T22" s="13"/>
    </row>
    <row r="23" spans="1:20" x14ac:dyDescent="0.25">
      <c r="A23" s="1" t="s">
        <v>31</v>
      </c>
      <c r="B23" s="13"/>
      <c r="C23" s="13"/>
      <c r="D23" s="13"/>
      <c r="E23" s="13"/>
      <c r="F23" s="13"/>
      <c r="G23" s="13"/>
      <c r="H23" s="22">
        <v>252000</v>
      </c>
      <c r="I23" s="22">
        <v>591200</v>
      </c>
      <c r="J23" s="22">
        <v>473000</v>
      </c>
      <c r="K23" s="22">
        <v>354700</v>
      </c>
      <c r="L23" s="22">
        <v>236500</v>
      </c>
      <c r="M23" s="22">
        <v>118200</v>
      </c>
      <c r="N23" s="22">
        <f>SUM(H23:M23)</f>
        <v>2025600</v>
      </c>
      <c r="O23" s="29"/>
      <c r="P23" s="13"/>
      <c r="Q23" s="13"/>
      <c r="R23" s="13"/>
      <c r="S23" s="13"/>
      <c r="T23" s="13"/>
    </row>
    <row r="24" spans="1:20" x14ac:dyDescent="0.25">
      <c r="B24" s="13"/>
      <c r="C24" s="13"/>
      <c r="D24" s="13"/>
      <c r="E24" s="13"/>
      <c r="F24" s="13"/>
      <c r="G24" s="13"/>
      <c r="H24" s="22"/>
      <c r="I24" s="22"/>
      <c r="J24" s="22"/>
      <c r="K24" s="22"/>
      <c r="L24" s="22"/>
      <c r="M24" s="22"/>
      <c r="N24" s="22"/>
      <c r="O24" s="29"/>
      <c r="P24" s="13"/>
      <c r="Q24" s="13"/>
      <c r="R24" s="13"/>
      <c r="S24" s="13"/>
      <c r="T24" s="13"/>
    </row>
    <row r="25" spans="1:20" x14ac:dyDescent="0.25">
      <c r="A25" s="36" t="s">
        <v>32</v>
      </c>
      <c r="B25" s="37">
        <f t="shared" ref="B25:G25" si="26">SUM(B20:B24)</f>
        <v>11709946.550000001</v>
      </c>
      <c r="C25" s="37">
        <f t="shared" si="26"/>
        <v>11647643.900000002</v>
      </c>
      <c r="D25" s="37">
        <f t="shared" si="26"/>
        <v>11888572.6</v>
      </c>
      <c r="E25" s="37">
        <f t="shared" si="26"/>
        <v>12856556.5</v>
      </c>
      <c r="F25" s="37">
        <f t="shared" si="26"/>
        <v>11490213.700000001</v>
      </c>
      <c r="G25" s="37">
        <f t="shared" si="26"/>
        <v>12350000</v>
      </c>
      <c r="H25" s="31">
        <f>SUM(H20:H24)</f>
        <v>12364750</v>
      </c>
      <c r="I25" s="31">
        <f t="shared" ref="I25:T25" si="27">SUM(I20:I24)</f>
        <v>12306963.75</v>
      </c>
      <c r="J25" s="31">
        <f t="shared" si="27"/>
        <v>12242042.56875</v>
      </c>
      <c r="K25" s="31">
        <f t="shared" si="27"/>
        <v>12180500.494364375</v>
      </c>
      <c r="L25" s="31">
        <f t="shared" si="27"/>
        <v>12119359.236984506</v>
      </c>
      <c r="M25" s="31">
        <f t="shared" si="27"/>
        <v>11948420.390940525</v>
      </c>
      <c r="N25" s="22"/>
      <c r="O25" s="29"/>
      <c r="P25" s="31">
        <f t="shared" si="27"/>
        <v>11887885.55901251</v>
      </c>
      <c r="Q25" s="31">
        <f t="shared" si="27"/>
        <v>11945856.352475276</v>
      </c>
      <c r="R25" s="31">
        <f t="shared" si="27"/>
        <v>12004134.391143395</v>
      </c>
      <c r="S25" s="31">
        <f t="shared" si="27"/>
        <v>12062721.303416455</v>
      </c>
      <c r="T25" s="31">
        <f t="shared" si="27"/>
        <v>12121618.726324562</v>
      </c>
    </row>
    <row r="26" spans="1:20" x14ac:dyDescent="0.25">
      <c r="B26" s="13"/>
      <c r="C26" s="13"/>
      <c r="D26" s="13"/>
      <c r="E26" s="13"/>
      <c r="F26" s="13"/>
      <c r="G26" s="13"/>
      <c r="H26" s="22"/>
      <c r="I26" s="22"/>
      <c r="J26" s="22"/>
      <c r="K26" s="22"/>
      <c r="L26" s="22"/>
      <c r="M26" s="22"/>
      <c r="N26" s="22"/>
      <c r="O26" s="29"/>
      <c r="P26" s="13"/>
      <c r="Q26" s="13"/>
      <c r="R26" s="13"/>
      <c r="S26" s="13"/>
      <c r="T26" s="13"/>
    </row>
    <row r="27" spans="1:20" x14ac:dyDescent="0.25">
      <c r="A27" s="1" t="s">
        <v>40</v>
      </c>
      <c r="B27" s="13"/>
      <c r="C27" s="13"/>
      <c r="D27" s="13"/>
      <c r="E27" s="13"/>
      <c r="F27" s="13"/>
      <c r="G27" s="13"/>
      <c r="H27" s="22"/>
      <c r="I27" s="22"/>
      <c r="J27" s="22"/>
      <c r="K27" s="22">
        <f>L41</f>
        <v>288000</v>
      </c>
      <c r="L27" s="22">
        <f>K27</f>
        <v>288000</v>
      </c>
      <c r="M27" s="22">
        <f>L27</f>
        <v>288000</v>
      </c>
      <c r="N27" s="22">
        <f>SUM(H27:M27)</f>
        <v>864000</v>
      </c>
      <c r="O27" s="29"/>
      <c r="P27" s="13">
        <f>M27</f>
        <v>288000</v>
      </c>
      <c r="Q27" s="13">
        <f>P27</f>
        <v>288000</v>
      </c>
      <c r="R27" s="13">
        <f t="shared" ref="R27:T27" si="28">Q27</f>
        <v>288000</v>
      </c>
      <c r="S27" s="13">
        <f t="shared" si="28"/>
        <v>288000</v>
      </c>
      <c r="T27" s="13">
        <f t="shared" si="28"/>
        <v>288000</v>
      </c>
    </row>
    <row r="28" spans="1:20" x14ac:dyDescent="0.25">
      <c r="B28" s="13"/>
      <c r="C28" s="13"/>
      <c r="D28" s="13"/>
      <c r="E28" s="13"/>
      <c r="F28" s="13"/>
      <c r="G28" s="13"/>
      <c r="H28" s="22"/>
      <c r="I28" s="22"/>
      <c r="J28" s="22"/>
      <c r="K28" s="22"/>
      <c r="L28" s="22"/>
      <c r="M28" s="22"/>
      <c r="N28" s="22"/>
      <c r="O28" s="29"/>
      <c r="P28" s="13"/>
      <c r="Q28" s="13"/>
      <c r="R28" s="13"/>
      <c r="S28" s="13"/>
      <c r="T28" s="13"/>
    </row>
    <row r="29" spans="1:20" s="36" customFormat="1" x14ac:dyDescent="0.25">
      <c r="A29" s="36" t="s">
        <v>33</v>
      </c>
      <c r="B29" s="37"/>
      <c r="C29" s="37"/>
      <c r="D29" s="37"/>
      <c r="E29" s="37"/>
      <c r="F29" s="37"/>
      <c r="G29" s="37">
        <f t="shared" ref="G29:M29" si="29">SUM(G25:G28)</f>
        <v>12350000</v>
      </c>
      <c r="H29" s="31">
        <f t="shared" si="29"/>
        <v>12364750</v>
      </c>
      <c r="I29" s="31">
        <f t="shared" si="29"/>
        <v>12306963.75</v>
      </c>
      <c r="J29" s="31">
        <f t="shared" si="29"/>
        <v>12242042.56875</v>
      </c>
      <c r="K29" s="31">
        <f t="shared" si="29"/>
        <v>12468500.494364375</v>
      </c>
      <c r="L29" s="31">
        <f t="shared" si="29"/>
        <v>12407359.236984506</v>
      </c>
      <c r="M29" s="31">
        <f t="shared" si="29"/>
        <v>12236420.390940525</v>
      </c>
      <c r="N29" s="31"/>
      <c r="O29" s="38"/>
      <c r="P29" s="31">
        <f>SUM(P25:P28)</f>
        <v>12175885.55901251</v>
      </c>
      <c r="Q29" s="31">
        <f>SUM(Q25:Q28)</f>
        <v>12233856.352475276</v>
      </c>
      <c r="R29" s="31">
        <f>SUM(R25:R28)</f>
        <v>12292134.391143395</v>
      </c>
      <c r="S29" s="31">
        <f>SUM(S25:S28)</f>
        <v>12350721.303416455</v>
      </c>
      <c r="T29" s="31">
        <f>SUM(T25:T28)</f>
        <v>12409618.726324562</v>
      </c>
    </row>
    <row r="30" spans="1:20" x14ac:dyDescent="0.25">
      <c r="B30" s="13"/>
      <c r="C30" s="13"/>
      <c r="D30" s="13"/>
      <c r="E30" s="13"/>
      <c r="F30" s="13"/>
      <c r="G30" s="13" t="s">
        <v>37</v>
      </c>
      <c r="H30" s="29"/>
      <c r="I30" s="29"/>
      <c r="J30" s="29"/>
      <c r="K30" s="29"/>
      <c r="L30" s="29"/>
      <c r="M30" s="29" t="s">
        <v>37</v>
      </c>
      <c r="N30" s="29"/>
      <c r="O30" s="29"/>
      <c r="P30" s="29"/>
      <c r="Q30" s="29"/>
      <c r="R30" s="29"/>
      <c r="S30" s="29"/>
      <c r="T30" s="29"/>
    </row>
    <row r="31" spans="1:20" s="42" customFormat="1" x14ac:dyDescent="0.25">
      <c r="A31" s="43" t="s">
        <v>38</v>
      </c>
      <c r="B31" s="43"/>
      <c r="C31" s="44"/>
      <c r="D31" s="44"/>
      <c r="E31" s="45"/>
      <c r="F31" s="45"/>
      <c r="G31" s="45"/>
      <c r="H31" s="45">
        <f>H29-$G$29</f>
        <v>14750</v>
      </c>
      <c r="I31" s="45">
        <f t="shared" ref="I31:L31" si="30">I29-$G$29</f>
        <v>-43036.25</v>
      </c>
      <c r="J31" s="45">
        <f t="shared" si="30"/>
        <v>-107957.43125000037</v>
      </c>
      <c r="K31" s="45">
        <f t="shared" si="30"/>
        <v>118500.49436437525</v>
      </c>
      <c r="L31" s="45">
        <f t="shared" si="30"/>
        <v>57359.236984506249</v>
      </c>
      <c r="M31" s="45">
        <f>M29-$G$29</f>
        <v>-113579.60905947536</v>
      </c>
      <c r="N31" s="45">
        <f>SUM(N7:N29)</f>
        <v>-73963.558960594237</v>
      </c>
      <c r="O31" s="45"/>
      <c r="P31" s="45">
        <f>P29-$G$29</f>
        <v>-174114.44098749012</v>
      </c>
      <c r="Q31" s="45">
        <f t="shared" ref="Q31:T31" si="31">Q29-$G$29</f>
        <v>-116143.64752472378</v>
      </c>
      <c r="R31" s="45">
        <f t="shared" si="31"/>
        <v>-57865.608856605366</v>
      </c>
      <c r="S31" s="45">
        <f t="shared" si="31"/>
        <v>721.30341645516455</v>
      </c>
      <c r="T31" s="45">
        <f t="shared" si="31"/>
        <v>59618.726324561983</v>
      </c>
    </row>
    <row r="32" spans="1:20" x14ac:dyDescent="0.25">
      <c r="C32" s="4"/>
      <c r="D32" s="4"/>
      <c r="E32" s="13"/>
      <c r="F32" s="13"/>
      <c r="G32" s="13"/>
      <c r="H32" s="29"/>
      <c r="I32" s="29"/>
      <c r="J32" s="29"/>
      <c r="K32" s="29"/>
      <c r="L32" s="29"/>
      <c r="M32" s="29">
        <f>SUM(H31:M31)</f>
        <v>-73963.558960594237</v>
      </c>
      <c r="N32" s="29"/>
      <c r="O32" s="29"/>
      <c r="P32" s="29"/>
      <c r="Q32" s="29"/>
      <c r="R32" s="29"/>
      <c r="S32" s="29"/>
      <c r="T32" s="29"/>
    </row>
    <row r="33" spans="1:20" x14ac:dyDescent="0.25">
      <c r="D33" s="28"/>
      <c r="E33" s="35"/>
      <c r="F33" s="28"/>
      <c r="I33" s="28"/>
      <c r="J33" s="35"/>
      <c r="K33" s="28"/>
      <c r="P33" s="35"/>
      <c r="Q33" s="27"/>
      <c r="R33" s="27"/>
      <c r="S33" s="27"/>
      <c r="T33" s="27"/>
    </row>
    <row r="34" spans="1:20" x14ac:dyDescent="0.25">
      <c r="A34" s="1" t="s">
        <v>41</v>
      </c>
      <c r="I34" s="41">
        <v>0.222</v>
      </c>
      <c r="J34" s="41"/>
      <c r="K34" s="29"/>
      <c r="L34" s="29"/>
    </row>
    <row r="35" spans="1:20" x14ac:dyDescent="0.25">
      <c r="A35" s="1" t="s">
        <v>42</v>
      </c>
      <c r="I35" s="41">
        <v>0.13500000000000001</v>
      </c>
      <c r="J35" s="41"/>
      <c r="K35" s="29"/>
      <c r="L35" s="29"/>
    </row>
    <row r="36" spans="1:20" x14ac:dyDescent="0.25">
      <c r="A36" s="1" t="s">
        <v>43</v>
      </c>
      <c r="I36" s="41">
        <v>0.14299999999999999</v>
      </c>
      <c r="J36" s="41"/>
      <c r="K36" s="29"/>
      <c r="L36" s="29"/>
    </row>
    <row r="37" spans="1:20" x14ac:dyDescent="0.25">
      <c r="A37" s="1" t="s">
        <v>44</v>
      </c>
      <c r="I37" s="41">
        <v>0.13800000000000001</v>
      </c>
    </row>
    <row r="39" spans="1:20" x14ac:dyDescent="0.25">
      <c r="A39" s="1" t="s">
        <v>36</v>
      </c>
      <c r="J39" s="28">
        <v>720000</v>
      </c>
      <c r="K39" s="35">
        <v>1.65</v>
      </c>
      <c r="L39" s="28">
        <f>J39*K39</f>
        <v>1188000</v>
      </c>
    </row>
    <row r="40" spans="1:20" x14ac:dyDescent="0.25">
      <c r="L40" s="28">
        <v>-900000</v>
      </c>
    </row>
    <row r="41" spans="1:20" x14ac:dyDescent="0.25">
      <c r="L41" s="28">
        <f>SUM(L39:L40)</f>
        <v>288000</v>
      </c>
    </row>
    <row r="42" spans="1:20" x14ac:dyDescent="0.25">
      <c r="D42" s="27"/>
      <c r="E42" s="27"/>
      <c r="F42" s="28"/>
      <c r="K42" s="28"/>
    </row>
    <row r="43" spans="1:20" x14ac:dyDescent="0.25">
      <c r="D43" s="27"/>
      <c r="E43" s="27"/>
      <c r="F43" s="28"/>
      <c r="K43" s="28"/>
    </row>
    <row r="44" spans="1:20" x14ac:dyDescent="0.25">
      <c r="A44" s="39" t="s">
        <v>39</v>
      </c>
      <c r="K44" s="28"/>
    </row>
    <row r="45" spans="1:20" x14ac:dyDescent="0.25">
      <c r="K45" s="28"/>
    </row>
    <row r="46" spans="1:20" x14ac:dyDescent="0.25">
      <c r="A46" s="1" t="s">
        <v>24</v>
      </c>
      <c r="B46" s="13">
        <f t="shared" ref="B46:M46" si="32">B7/115*100</f>
        <v>8881839.7826086953</v>
      </c>
      <c r="C46" s="13">
        <f t="shared" si="32"/>
        <v>9279799.2173913047</v>
      </c>
      <c r="D46" s="13">
        <f t="shared" si="32"/>
        <v>8415949.2173913028</v>
      </c>
      <c r="E46" s="13">
        <f t="shared" si="32"/>
        <v>9105306.9565217383</v>
      </c>
      <c r="F46" s="13">
        <f t="shared" si="32"/>
        <v>8465689.3913043495</v>
      </c>
      <c r="G46" s="13">
        <f t="shared" si="32"/>
        <v>9173913.0434782617</v>
      </c>
      <c r="H46" s="29">
        <f t="shared" si="32"/>
        <v>9219782.6086956523</v>
      </c>
      <c r="I46" s="29">
        <f t="shared" si="32"/>
        <v>9265881.5217391308</v>
      </c>
      <c r="J46" s="29">
        <f t="shared" si="32"/>
        <v>9312210.9293478262</v>
      </c>
      <c r="K46" s="29">
        <f t="shared" si="32"/>
        <v>9361565.6472733691</v>
      </c>
      <c r="L46" s="29">
        <f t="shared" si="32"/>
        <v>9411181.945203919</v>
      </c>
      <c r="M46" s="29">
        <f t="shared" si="32"/>
        <v>9461061.2095135003</v>
      </c>
      <c r="N46" s="29"/>
      <c r="O46" s="29"/>
      <c r="P46" s="13">
        <f>P7/115*100</f>
        <v>9511204.8339239229</v>
      </c>
      <c r="Q46" s="13">
        <f>Q7/115*100</f>
        <v>9561614.2195437197</v>
      </c>
      <c r="R46" s="13">
        <f>R7/115*100</f>
        <v>9612290.7749073002</v>
      </c>
      <c r="S46" s="13">
        <f>S7/115*100</f>
        <v>9663235.9160143081</v>
      </c>
      <c r="T46" s="13">
        <f>T7/115*100</f>
        <v>9714451.0663691852</v>
      </c>
    </row>
    <row r="47" spans="1:20" x14ac:dyDescent="0.25">
      <c r="A47" s="1" t="s">
        <v>25</v>
      </c>
      <c r="B47" s="13">
        <f t="shared" ref="B47:M47" si="33">B13/125*100</f>
        <v>1196664.6399999999</v>
      </c>
      <c r="C47" s="13">
        <f t="shared" si="33"/>
        <v>780699.84000000008</v>
      </c>
      <c r="D47" s="13">
        <f t="shared" si="33"/>
        <v>1768184.8000000003</v>
      </c>
      <c r="E47" s="13">
        <f t="shared" si="33"/>
        <v>1908362.8</v>
      </c>
      <c r="F47" s="13">
        <f t="shared" si="33"/>
        <v>1403736.72</v>
      </c>
      <c r="G47" s="13">
        <f t="shared" si="33"/>
        <v>1440000</v>
      </c>
      <c r="H47" s="29">
        <f t="shared" si="33"/>
        <v>1440000</v>
      </c>
      <c r="I47" s="29">
        <f t="shared" si="33"/>
        <v>1440000</v>
      </c>
      <c r="J47" s="29">
        <f t="shared" si="33"/>
        <v>1440000</v>
      </c>
      <c r="K47" s="29">
        <f t="shared" si="33"/>
        <v>1440000</v>
      </c>
      <c r="L47" s="29">
        <f t="shared" si="33"/>
        <v>1440000</v>
      </c>
      <c r="M47" s="29">
        <f t="shared" si="33"/>
        <v>1440000</v>
      </c>
      <c r="N47" s="29"/>
      <c r="O47" s="29"/>
      <c r="P47" s="13">
        <f>P13/125*100</f>
        <v>1440000</v>
      </c>
      <c r="Q47" s="13">
        <f>Q13/125*100</f>
        <v>1440000</v>
      </c>
      <c r="R47" s="13">
        <f>R13/125*100</f>
        <v>1440000</v>
      </c>
      <c r="S47" s="13">
        <f>S13/125*100</f>
        <v>1440000</v>
      </c>
      <c r="T47" s="13">
        <f>T13/125*100</f>
        <v>1440000</v>
      </c>
    </row>
    <row r="48" spans="1:20" s="16" customFormat="1" ht="14.4" x14ac:dyDescent="0.3">
      <c r="A48" s="16" t="s">
        <v>26</v>
      </c>
      <c r="B48" s="17">
        <f>B46+B47</f>
        <v>10078504.422608696</v>
      </c>
      <c r="C48" s="17">
        <f>C46+C47</f>
        <v>10060499.057391305</v>
      </c>
      <c r="D48" s="17">
        <f t="shared" ref="D48:T48" si="34">D46+D47</f>
        <v>10184134.017391304</v>
      </c>
      <c r="E48" s="17">
        <f t="shared" si="34"/>
        <v>11013669.756521739</v>
      </c>
      <c r="F48" s="17">
        <f t="shared" si="34"/>
        <v>9869426.1113043502</v>
      </c>
      <c r="G48" s="17">
        <f t="shared" si="34"/>
        <v>10613913.043478262</v>
      </c>
      <c r="H48" s="30">
        <f t="shared" si="34"/>
        <v>10659782.608695652</v>
      </c>
      <c r="I48" s="30">
        <f t="shared" si="34"/>
        <v>10705881.521739131</v>
      </c>
      <c r="J48" s="30">
        <f t="shared" si="34"/>
        <v>10752210.929347826</v>
      </c>
      <c r="K48" s="30">
        <f t="shared" si="34"/>
        <v>10801565.647273369</v>
      </c>
      <c r="L48" s="30">
        <f t="shared" si="34"/>
        <v>10851181.945203919</v>
      </c>
      <c r="M48" s="30">
        <f t="shared" si="34"/>
        <v>10901061.2095135</v>
      </c>
      <c r="N48" s="30"/>
      <c r="O48" s="30"/>
      <c r="P48" s="17">
        <f t="shared" si="34"/>
        <v>10951204.833923923</v>
      </c>
      <c r="Q48" s="17">
        <f t="shared" si="34"/>
        <v>11001614.21954372</v>
      </c>
      <c r="R48" s="17">
        <f t="shared" si="34"/>
        <v>11052290.7749073</v>
      </c>
      <c r="S48" s="17">
        <f t="shared" si="34"/>
        <v>11103235.916014308</v>
      </c>
      <c r="T48" s="17">
        <f t="shared" si="34"/>
        <v>11154451.066369185</v>
      </c>
    </row>
    <row r="52" spans="1:11" hidden="1" x14ac:dyDescent="0.25">
      <c r="A52" s="39" t="s">
        <v>5</v>
      </c>
    </row>
    <row r="53" spans="1:11" hidden="1" x14ac:dyDescent="0.25"/>
    <row r="54" spans="1:11" ht="60.6" hidden="1" customHeight="1" x14ac:dyDescent="0.25">
      <c r="A54" s="15" t="s">
        <v>6</v>
      </c>
      <c r="B54" s="15" t="s">
        <v>7</v>
      </c>
      <c r="C54" s="15" t="s">
        <v>8</v>
      </c>
      <c r="D54" s="15" t="s">
        <v>9</v>
      </c>
      <c r="E54" s="15" t="s">
        <v>10</v>
      </c>
      <c r="F54" s="15" t="s">
        <v>11</v>
      </c>
      <c r="G54" s="15" t="s">
        <v>12</v>
      </c>
      <c r="H54" s="32" t="s">
        <v>13</v>
      </c>
      <c r="I54" s="32" t="s">
        <v>14</v>
      </c>
      <c r="J54" s="32" t="s">
        <v>15</v>
      </c>
      <c r="K54" s="32" t="s">
        <v>16</v>
      </c>
    </row>
    <row r="55" spans="1:11" hidden="1" x14ac:dyDescent="0.25"/>
    <row r="56" spans="1:11" hidden="1" x14ac:dyDescent="0.25">
      <c r="A56" s="1">
        <v>2020</v>
      </c>
      <c r="B56" s="9">
        <v>-392600</v>
      </c>
      <c r="C56" s="9">
        <v>252000</v>
      </c>
      <c r="D56" s="11">
        <v>1</v>
      </c>
      <c r="E56" s="1">
        <v>0</v>
      </c>
      <c r="F56" s="9">
        <f>B56+C56</f>
        <v>-140600</v>
      </c>
      <c r="G56" s="9">
        <v>140600</v>
      </c>
      <c r="I56" s="33">
        <v>0</v>
      </c>
      <c r="J56" s="33">
        <v>0</v>
      </c>
      <c r="K56" s="26">
        <v>0</v>
      </c>
    </row>
    <row r="57" spans="1:11" hidden="1" x14ac:dyDescent="0.25">
      <c r="A57" s="1">
        <v>2021</v>
      </c>
      <c r="B57" s="9">
        <v>-811800</v>
      </c>
      <c r="C57" s="9">
        <v>591200</v>
      </c>
      <c r="D57" s="11">
        <v>1</v>
      </c>
      <c r="E57" s="1">
        <v>0</v>
      </c>
      <c r="F57" s="9">
        <f t="shared" ref="F57:F62" si="35">B57+C57</f>
        <v>-220600</v>
      </c>
      <c r="G57" s="9">
        <v>140600</v>
      </c>
      <c r="I57" s="33">
        <v>0</v>
      </c>
      <c r="J57" s="34">
        <f>F57+G57</f>
        <v>-80000</v>
      </c>
      <c r="K57" s="26">
        <f>1/E69*J57</f>
        <v>-7.3923420880224657E-3</v>
      </c>
    </row>
    <row r="58" spans="1:11" hidden="1" x14ac:dyDescent="0.25">
      <c r="A58" s="1">
        <v>2022</v>
      </c>
      <c r="B58" s="9">
        <v>-811800</v>
      </c>
      <c r="C58" s="9">
        <v>473000</v>
      </c>
      <c r="D58" s="11">
        <v>0.8</v>
      </c>
      <c r="E58" s="1">
        <v>0</v>
      </c>
      <c r="F58" s="9">
        <f t="shared" si="35"/>
        <v>-338800</v>
      </c>
      <c r="G58" s="9">
        <v>140600</v>
      </c>
      <c r="I58" s="33">
        <v>0</v>
      </c>
      <c r="J58" s="34">
        <f t="shared" ref="J58" si="36">F58+G58</f>
        <v>-198200</v>
      </c>
      <c r="K58" s="26">
        <f>1/E69*J58</f>
        <v>-1.831452752307566E-2</v>
      </c>
    </row>
    <row r="59" spans="1:11" hidden="1" x14ac:dyDescent="0.25">
      <c r="A59" s="1">
        <v>2023</v>
      </c>
      <c r="B59" s="9">
        <v>-811800</v>
      </c>
      <c r="C59" s="9">
        <v>354700</v>
      </c>
      <c r="D59" s="11">
        <v>0.6</v>
      </c>
      <c r="E59" s="1">
        <v>0</v>
      </c>
      <c r="F59" s="9">
        <f t="shared" si="35"/>
        <v>-457100</v>
      </c>
      <c r="G59" s="9">
        <v>140600</v>
      </c>
      <c r="I59" s="33">
        <v>33500</v>
      </c>
      <c r="J59" s="34">
        <f>F59+G59+I59</f>
        <v>-283000</v>
      </c>
      <c r="K59" s="26">
        <f>1/E69*J59</f>
        <v>-2.6150410136379473E-2</v>
      </c>
    </row>
    <row r="60" spans="1:11" hidden="1" x14ac:dyDescent="0.25">
      <c r="A60" s="1">
        <v>2024</v>
      </c>
      <c r="B60" s="9">
        <v>-811800</v>
      </c>
      <c r="C60" s="9">
        <v>236500</v>
      </c>
      <c r="D60" s="11">
        <v>0.4</v>
      </c>
      <c r="E60" s="1">
        <v>0</v>
      </c>
      <c r="F60" s="9">
        <f t="shared" si="35"/>
        <v>-575300</v>
      </c>
      <c r="G60" s="9">
        <v>140600</v>
      </c>
      <c r="I60" s="33">
        <v>402000</v>
      </c>
      <c r="J60" s="34">
        <f t="shared" ref="J60:J62" si="37">F60+G60+I60</f>
        <v>-32700</v>
      </c>
      <c r="K60" s="26">
        <f>1/E69*J60</f>
        <v>-3.021619828479183E-3</v>
      </c>
    </row>
    <row r="61" spans="1:11" hidden="1" x14ac:dyDescent="0.25">
      <c r="A61" s="1">
        <v>2025</v>
      </c>
      <c r="B61" s="9">
        <v>-811800</v>
      </c>
      <c r="C61" s="9">
        <v>118200</v>
      </c>
      <c r="D61" s="11">
        <v>0.2</v>
      </c>
      <c r="E61" s="1">
        <v>0</v>
      </c>
      <c r="F61" s="9">
        <f t="shared" si="35"/>
        <v>-693600</v>
      </c>
      <c r="G61" s="9">
        <v>0</v>
      </c>
      <c r="I61" s="33">
        <v>402000</v>
      </c>
      <c r="J61" s="34">
        <f t="shared" si="37"/>
        <v>-291600</v>
      </c>
      <c r="K61" s="26">
        <f>1/E69*J61</f>
        <v>-2.6945086910841888E-2</v>
      </c>
    </row>
    <row r="62" spans="1:11" hidden="1" x14ac:dyDescent="0.25">
      <c r="A62" s="1">
        <v>2026</v>
      </c>
      <c r="B62" s="9">
        <v>-811800</v>
      </c>
      <c r="C62" s="9">
        <v>0</v>
      </c>
      <c r="D62" s="11">
        <v>0</v>
      </c>
      <c r="E62" s="1">
        <v>0</v>
      </c>
      <c r="F62" s="9">
        <f t="shared" si="35"/>
        <v>-811800</v>
      </c>
      <c r="G62" s="9">
        <v>0</v>
      </c>
      <c r="I62" s="33">
        <v>402000</v>
      </c>
      <c r="J62" s="34">
        <f t="shared" si="37"/>
        <v>-409800</v>
      </c>
      <c r="K62" s="26">
        <f>1/E69*J62</f>
        <v>-3.7867272345895077E-2</v>
      </c>
    </row>
    <row r="63" spans="1:11" hidden="1" x14ac:dyDescent="0.25">
      <c r="B63" s="10">
        <f>SUM(B56:B62)</f>
        <v>-5263400</v>
      </c>
      <c r="C63" s="10">
        <f>SUM(C56:C62)</f>
        <v>2025600</v>
      </c>
      <c r="F63" s="10">
        <f>SUM(F56:F62)</f>
        <v>-3237800</v>
      </c>
      <c r="G63" s="10">
        <f>SUM(G56:G62)</f>
        <v>703000</v>
      </c>
      <c r="I63" s="34">
        <f>SUM(I56:I62)</f>
        <v>1239500</v>
      </c>
      <c r="J63" s="34">
        <f>SUM(J56:J62)</f>
        <v>-1295300</v>
      </c>
    </row>
    <row r="64" spans="1:11" hidden="1" x14ac:dyDescent="0.25">
      <c r="F64" s="10"/>
      <c r="J64" s="34"/>
    </row>
    <row r="65" spans="1:5" hidden="1" x14ac:dyDescent="0.25">
      <c r="A65" s="1" t="s">
        <v>17</v>
      </c>
      <c r="E65" s="1">
        <v>0</v>
      </c>
    </row>
    <row r="66" spans="1:5" hidden="1" x14ac:dyDescent="0.25"/>
    <row r="67" spans="1:5" hidden="1" x14ac:dyDescent="0.25">
      <c r="A67" s="1" t="s">
        <v>18</v>
      </c>
      <c r="B67" s="1" t="s">
        <v>19</v>
      </c>
      <c r="E67" s="12">
        <v>1.25</v>
      </c>
    </row>
    <row r="68" spans="1:5" hidden="1" x14ac:dyDescent="0.25">
      <c r="A68" s="1" t="s">
        <v>20</v>
      </c>
      <c r="B68" s="1" t="s">
        <v>19</v>
      </c>
      <c r="E68" s="12">
        <v>1.1499999999999999</v>
      </c>
    </row>
    <row r="69" spans="1:5" hidden="1" x14ac:dyDescent="0.25">
      <c r="A69" s="1" t="s">
        <v>21</v>
      </c>
      <c r="E69" s="9">
        <v>10822010</v>
      </c>
    </row>
    <row r="70" spans="1:5" hidden="1" x14ac:dyDescent="0.25">
      <c r="A70" s="1" t="s">
        <v>22</v>
      </c>
      <c r="E70" s="9">
        <v>402000</v>
      </c>
    </row>
    <row r="71" spans="1:5" hidden="1" x14ac:dyDescent="0.25"/>
    <row r="72" spans="1:5" hidden="1" x14ac:dyDescent="0.25"/>
    <row r="73" spans="1:5" hidden="1" x14ac:dyDescent="0.25"/>
    <row r="74" spans="1:5" hidden="1" x14ac:dyDescent="0.25"/>
  </sheetData>
  <pageMargins left="0.51181102362204722" right="0.51181102362204722" top="0.59055118110236227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Lüscher</dc:creator>
  <cp:lastModifiedBy>Karin Fejza</cp:lastModifiedBy>
  <cp:lastPrinted>2019-04-23T16:00:03Z</cp:lastPrinted>
  <dcterms:created xsi:type="dcterms:W3CDTF">2019-04-16T05:29:03Z</dcterms:created>
  <dcterms:modified xsi:type="dcterms:W3CDTF">2019-04-26T06:58:37Z</dcterms:modified>
</cp:coreProperties>
</file>